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S42" i="1"/>
  <c r="E36"/>
  <c r="S43"/>
  <c r="R43"/>
  <c r="Q43"/>
  <c r="P43"/>
  <c r="O43"/>
  <c r="N43"/>
  <c r="M43"/>
  <c r="L43"/>
  <c r="K43"/>
  <c r="J43"/>
  <c r="I43"/>
  <c r="H43"/>
  <c r="G43"/>
  <c r="F43"/>
  <c r="E43"/>
  <c r="D43"/>
  <c r="C43"/>
  <c r="S39"/>
  <c r="S41" s="1"/>
  <c r="R39"/>
  <c r="R42" s="1"/>
  <c r="Q39"/>
  <c r="Q42" s="1"/>
  <c r="P39"/>
  <c r="P42" s="1"/>
  <c r="O39"/>
  <c r="O42" s="1"/>
  <c r="N39"/>
  <c r="N42" s="1"/>
  <c r="M39"/>
  <c r="M42" s="1"/>
  <c r="L39"/>
  <c r="L42" s="1"/>
  <c r="K39"/>
  <c r="K42" s="1"/>
  <c r="J39"/>
  <c r="J42" s="1"/>
  <c r="I39"/>
  <c r="I42" s="1"/>
  <c r="H39"/>
  <c r="H42" s="1"/>
  <c r="G39"/>
  <c r="G42" s="1"/>
  <c r="F39"/>
  <c r="F42" s="1"/>
  <c r="E39"/>
  <c r="E41" s="1"/>
  <c r="D39"/>
  <c r="D41" s="1"/>
  <c r="C39"/>
  <c r="C41" s="1"/>
  <c r="C40"/>
  <c r="C37"/>
  <c r="C42" l="1"/>
  <c r="C44" s="1"/>
  <c r="D42"/>
  <c r="D44" s="1"/>
  <c r="E42"/>
  <c r="F41"/>
  <c r="G41"/>
  <c r="H41"/>
  <c r="I41"/>
  <c r="J41"/>
  <c r="K41"/>
  <c r="L41"/>
  <c r="M41"/>
  <c r="N41"/>
  <c r="O41"/>
  <c r="P41"/>
  <c r="Q41"/>
  <c r="R41"/>
  <c r="S44"/>
  <c r="R44"/>
  <c r="Q44"/>
  <c r="P44"/>
  <c r="O44"/>
  <c r="N44"/>
  <c r="M44"/>
  <c r="L44"/>
  <c r="K44"/>
  <c r="J44"/>
  <c r="I44"/>
  <c r="H44"/>
  <c r="G44"/>
  <c r="F44"/>
  <c r="E44"/>
  <c r="H11" l="1"/>
  <c r="H10"/>
  <c r="H9"/>
  <c r="C26"/>
  <c r="H20"/>
  <c r="H21"/>
  <c r="H22"/>
  <c r="H23"/>
  <c r="H24"/>
  <c r="H25"/>
  <c r="H5"/>
  <c r="C12" s="1"/>
  <c r="G7"/>
  <c r="F7"/>
  <c r="E7"/>
  <c r="D7"/>
  <c r="C7"/>
  <c r="H26" l="1"/>
  <c r="C28"/>
  <c r="H28" s="1"/>
  <c r="H15"/>
  <c r="G12"/>
  <c r="F13"/>
  <c r="E14"/>
  <c r="F12"/>
  <c r="E13"/>
  <c r="D14"/>
  <c r="E12"/>
  <c r="D13"/>
  <c r="C14"/>
  <c r="D12"/>
  <c r="C13"/>
  <c r="G13"/>
  <c r="F14"/>
  <c r="H7"/>
  <c r="H6" l="1"/>
  <c r="H31"/>
  <c r="H18"/>
  <c r="H29"/>
  <c r="G15"/>
  <c r="C15"/>
  <c r="D15"/>
  <c r="E15"/>
  <c r="F15"/>
  <c r="H16"/>
  <c r="H17" s="1"/>
  <c r="H30" l="1"/>
  <c r="E16"/>
  <c r="E17" s="1"/>
  <c r="E18"/>
  <c r="D16"/>
  <c r="D17" s="1"/>
  <c r="D18"/>
  <c r="G16"/>
  <c r="G17" s="1"/>
  <c r="G18"/>
  <c r="C16"/>
  <c r="C17" s="1"/>
  <c r="C18"/>
  <c r="F16"/>
  <c r="F17" s="1"/>
  <c r="F18"/>
  <c r="P40" l="1"/>
  <c r="I40"/>
  <c r="F40"/>
  <c r="Q40"/>
  <c r="S40"/>
  <c r="R40"/>
  <c r="D40"/>
  <c r="G40"/>
  <c r="K40"/>
  <c r="J40"/>
  <c r="N40"/>
  <c r="M40"/>
  <c r="O40"/>
  <c r="E40"/>
  <c r="L40"/>
  <c r="H40"/>
</calcChain>
</file>

<file path=xl/sharedStrings.xml><?xml version="1.0" encoding="utf-8"?>
<sst xmlns="http://schemas.openxmlformats.org/spreadsheetml/2006/main" count="50" uniqueCount="45">
  <si>
    <t>№</t>
  </si>
  <si>
    <t xml:space="preserve">показатель </t>
  </si>
  <si>
    <t>реализация продукции в штуках</t>
  </si>
  <si>
    <t>деталь 1</t>
  </si>
  <si>
    <t>деталь 2</t>
  </si>
  <si>
    <t>деталь 3</t>
  </si>
  <si>
    <t>деталь 4</t>
  </si>
  <si>
    <t>деталь 5</t>
  </si>
  <si>
    <t>Переменные затраты</t>
  </si>
  <si>
    <t>приобретения сырья, материалов и комплектующих</t>
  </si>
  <si>
    <t>топливо и электроэнергия на производственные нужды</t>
  </si>
  <si>
    <t>покупка вспомогательных материалов для цеховых нужд</t>
  </si>
  <si>
    <t>Итого</t>
  </si>
  <si>
    <t>Постоянные затраты</t>
  </si>
  <si>
    <t>услуги связи</t>
  </si>
  <si>
    <t xml:space="preserve">комунальные услуги </t>
  </si>
  <si>
    <t>услуги охраны</t>
  </si>
  <si>
    <t xml:space="preserve">консультационные услуги аудитора </t>
  </si>
  <si>
    <t>аренда производственных площадей и офиса</t>
  </si>
  <si>
    <t xml:space="preserve">Расчет точки безубыточности по производственному предприятию, специализирующемуся на выпуске деталей в машиностроительной отрасти </t>
  </si>
  <si>
    <t>цена 1 единицы продукции в руб.</t>
  </si>
  <si>
    <t>выручка в руб.</t>
  </si>
  <si>
    <t>общепроизводственные расходы</t>
  </si>
  <si>
    <t>Всего переменных затрат</t>
  </si>
  <si>
    <t>прибыль на ед. продукции(стр. 11/ стр. 01)</t>
  </si>
  <si>
    <t>Всего постоянных затрат</t>
  </si>
  <si>
    <t>Итого постоянных затрат</t>
  </si>
  <si>
    <t>налог на прибыль</t>
  </si>
  <si>
    <t xml:space="preserve">Всего общих затрат </t>
  </si>
  <si>
    <t>переменные затраты на ед. продукции (стр. 10/стр.01)</t>
  </si>
  <si>
    <t>закуп инструментов для производства продукции</t>
  </si>
  <si>
    <t>Маржинальная прибыль (ст.  03- стр 10)</t>
  </si>
  <si>
    <t xml:space="preserve"> заработная плата рабочих цеха</t>
  </si>
  <si>
    <t>заработная плата АУР + страховые взносы</t>
  </si>
  <si>
    <t>Точка безубыточности в шт.(стр. 21/(стр.02-стр.13)</t>
  </si>
  <si>
    <t>Точка безубыточности в руб.(стр. 03 * стр. 21/(стр. 03 - стр. 10)</t>
  </si>
  <si>
    <t>Переменные затраты (в рублях)</t>
  </si>
  <si>
    <t>Постоянные затраты (в рублях)</t>
  </si>
  <si>
    <t>Общие затраты (в рублях)</t>
  </si>
  <si>
    <t>цена 1-ой единицы (в рублях)</t>
  </si>
  <si>
    <t>Объем производства (в единицах)</t>
  </si>
  <si>
    <t>Выручка (в рублях)</t>
  </si>
  <si>
    <t>в 1-й таблице видно из чего складываются затраты и можно  рассчитать точку, подставляя нужные значения</t>
  </si>
  <si>
    <t>это сводная таблица, сюда можно подставлять значения, будет расчет в 3-й таблице</t>
  </si>
  <si>
    <t>процент для определения объема по длям - 100, 200 и т.д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</si>
</sst>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1" fontId="0" fillId="0" borderId="0" xfId="0" applyNumberFormat="1" applyFill="1" applyBorder="1"/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8" xfId="0" applyFont="1" applyFill="1" applyBorder="1"/>
    <xf numFmtId="0" fontId="7" fillId="0" borderId="2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2" fontId="8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2" borderId="1" xfId="0" applyFont="1" applyFill="1" applyBorder="1"/>
    <xf numFmtId="164" fontId="7" fillId="0" borderId="1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7" fillId="0" borderId="8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0" fillId="0" borderId="0" xfId="0" applyAlignment="1"/>
    <xf numFmtId="2" fontId="8" fillId="0" borderId="2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1"/>
          <c:order val="0"/>
          <c:tx>
            <c:strRef>
              <c:f>Лист1!$B$41</c:f>
              <c:strCache>
                <c:ptCount val="1"/>
                <c:pt idx="0">
                  <c:v>Выручка (в рублях)</c:v>
                </c:pt>
              </c:strCache>
            </c:strRef>
          </c:tx>
          <c:cat>
            <c:numRef>
              <c:f>Лист1!$C$39:$S$39</c:f>
              <c:numCache>
                <c:formatCode>General</c:formatCode>
                <c:ptCount val="17"/>
                <c:pt idx="0">
                  <c:v>5.882352941176471</c:v>
                </c:pt>
                <c:pt idx="1">
                  <c:v>11.764705882352942</c:v>
                </c:pt>
                <c:pt idx="2">
                  <c:v>17.647058823529413</c:v>
                </c:pt>
                <c:pt idx="3">
                  <c:v>23.529411764705884</c:v>
                </c:pt>
                <c:pt idx="4">
                  <c:v>29.411764705882355</c:v>
                </c:pt>
                <c:pt idx="5">
                  <c:v>35.294117647058826</c:v>
                </c:pt>
                <c:pt idx="6">
                  <c:v>41.176470588235297</c:v>
                </c:pt>
                <c:pt idx="7">
                  <c:v>47.058823529411768</c:v>
                </c:pt>
                <c:pt idx="8">
                  <c:v>52.941176470588239</c:v>
                </c:pt>
                <c:pt idx="9">
                  <c:v>58.82352941176471</c:v>
                </c:pt>
                <c:pt idx="10">
                  <c:v>64.705882352941188</c:v>
                </c:pt>
                <c:pt idx="11">
                  <c:v>70.588235294117652</c:v>
                </c:pt>
                <c:pt idx="12">
                  <c:v>76.470588235294116</c:v>
                </c:pt>
                <c:pt idx="13">
                  <c:v>82.352941176470594</c:v>
                </c:pt>
                <c:pt idx="14">
                  <c:v>88.235294117647072</c:v>
                </c:pt>
                <c:pt idx="15">
                  <c:v>94.117647058823536</c:v>
                </c:pt>
                <c:pt idx="16">
                  <c:v>100</c:v>
                </c:pt>
              </c:numCache>
            </c:numRef>
          </c:cat>
          <c:val>
            <c:numRef>
              <c:f>Лист1!$C$41:$S$41</c:f>
              <c:numCache>
                <c:formatCode>0.00</c:formatCode>
                <c:ptCount val="17"/>
                <c:pt idx="0" formatCode="General">
                  <c:v>5882.3529411764712</c:v>
                </c:pt>
                <c:pt idx="1">
                  <c:v>11764.705882352942</c:v>
                </c:pt>
                <c:pt idx="2">
                  <c:v>17647.058823529413</c:v>
                </c:pt>
                <c:pt idx="3">
                  <c:v>23529.411764705885</c:v>
                </c:pt>
                <c:pt idx="4">
                  <c:v>29411.764705882357</c:v>
                </c:pt>
                <c:pt idx="5">
                  <c:v>35294.117647058825</c:v>
                </c:pt>
                <c:pt idx="6">
                  <c:v>41176.470588235294</c:v>
                </c:pt>
                <c:pt idx="7">
                  <c:v>47058.823529411769</c:v>
                </c:pt>
                <c:pt idx="8">
                  <c:v>52941.176470588238</c:v>
                </c:pt>
                <c:pt idx="9">
                  <c:v>58823.529411764714</c:v>
                </c:pt>
                <c:pt idx="10">
                  <c:v>64705.882352941189</c:v>
                </c:pt>
                <c:pt idx="11">
                  <c:v>70588.23529411765</c:v>
                </c:pt>
                <c:pt idx="12">
                  <c:v>76470.588235294112</c:v>
                </c:pt>
                <c:pt idx="13">
                  <c:v>82352.941176470587</c:v>
                </c:pt>
                <c:pt idx="14">
                  <c:v>88235.294117647078</c:v>
                </c:pt>
                <c:pt idx="15">
                  <c:v>94117.647058823539</c:v>
                </c:pt>
                <c:pt idx="16" formatCode="0">
                  <c:v>100000</c:v>
                </c:pt>
              </c:numCache>
            </c:numRef>
          </c:val>
        </c:ser>
        <c:ser>
          <c:idx val="2"/>
          <c:order val="1"/>
          <c:tx>
            <c:strRef>
              <c:f>Лист1!$B$42</c:f>
              <c:strCache>
                <c:ptCount val="1"/>
                <c:pt idx="0">
                  <c:v>Переменные затраты (в рублях)</c:v>
                </c:pt>
              </c:strCache>
            </c:strRef>
          </c:tx>
          <c:cat>
            <c:numRef>
              <c:f>Лист1!$C$39:$S$39</c:f>
              <c:numCache>
                <c:formatCode>General</c:formatCode>
                <c:ptCount val="17"/>
                <c:pt idx="0">
                  <c:v>5.882352941176471</c:v>
                </c:pt>
                <c:pt idx="1">
                  <c:v>11.764705882352942</c:v>
                </c:pt>
                <c:pt idx="2">
                  <c:v>17.647058823529413</c:v>
                </c:pt>
                <c:pt idx="3">
                  <c:v>23.529411764705884</c:v>
                </c:pt>
                <c:pt idx="4">
                  <c:v>29.411764705882355</c:v>
                </c:pt>
                <c:pt idx="5">
                  <c:v>35.294117647058826</c:v>
                </c:pt>
                <c:pt idx="6">
                  <c:v>41.176470588235297</c:v>
                </c:pt>
                <c:pt idx="7">
                  <c:v>47.058823529411768</c:v>
                </c:pt>
                <c:pt idx="8">
                  <c:v>52.941176470588239</c:v>
                </c:pt>
                <c:pt idx="9">
                  <c:v>58.82352941176471</c:v>
                </c:pt>
                <c:pt idx="10">
                  <c:v>64.705882352941188</c:v>
                </c:pt>
                <c:pt idx="11">
                  <c:v>70.588235294117652</c:v>
                </c:pt>
                <c:pt idx="12">
                  <c:v>76.470588235294116</c:v>
                </c:pt>
                <c:pt idx="13">
                  <c:v>82.352941176470594</c:v>
                </c:pt>
                <c:pt idx="14">
                  <c:v>88.235294117647072</c:v>
                </c:pt>
                <c:pt idx="15">
                  <c:v>94.117647058823536</c:v>
                </c:pt>
                <c:pt idx="16">
                  <c:v>100</c:v>
                </c:pt>
              </c:numCache>
            </c:numRef>
          </c:cat>
          <c:val>
            <c:numRef>
              <c:f>Лист1!$C$42:$S$42</c:f>
              <c:numCache>
                <c:formatCode>0.00</c:formatCode>
                <c:ptCount val="17"/>
                <c:pt idx="0">
                  <c:v>1764.7058823529412</c:v>
                </c:pt>
                <c:pt idx="1">
                  <c:v>3529.4117647058824</c:v>
                </c:pt>
                <c:pt idx="2">
                  <c:v>5294.1176470588243</c:v>
                </c:pt>
                <c:pt idx="3">
                  <c:v>7058.8235294117649</c:v>
                </c:pt>
                <c:pt idx="4">
                  <c:v>8823.5294117647063</c:v>
                </c:pt>
                <c:pt idx="5">
                  <c:v>10588.235294117649</c:v>
                </c:pt>
                <c:pt idx="6">
                  <c:v>12352.941176470589</c:v>
                </c:pt>
                <c:pt idx="7">
                  <c:v>14117.64705882353</c:v>
                </c:pt>
                <c:pt idx="8">
                  <c:v>15882.352941176472</c:v>
                </c:pt>
                <c:pt idx="9">
                  <c:v>17647.058823529413</c:v>
                </c:pt>
                <c:pt idx="10">
                  <c:v>19411.764705882357</c:v>
                </c:pt>
                <c:pt idx="11">
                  <c:v>21176.470588235297</c:v>
                </c:pt>
                <c:pt idx="12">
                  <c:v>22941.176470588234</c:v>
                </c:pt>
                <c:pt idx="13">
                  <c:v>24705.882352941178</c:v>
                </c:pt>
                <c:pt idx="14">
                  <c:v>26470.588235294123</c:v>
                </c:pt>
                <c:pt idx="15">
                  <c:v>28235.294117647059</c:v>
                </c:pt>
                <c:pt idx="16" formatCode="0">
                  <c:v>30000</c:v>
                </c:pt>
              </c:numCache>
            </c:numRef>
          </c:val>
        </c:ser>
        <c:ser>
          <c:idx val="3"/>
          <c:order val="2"/>
          <c:tx>
            <c:strRef>
              <c:f>Лист1!$B$43</c:f>
              <c:strCache>
                <c:ptCount val="1"/>
                <c:pt idx="0">
                  <c:v>Постоянные затраты (в рублях)</c:v>
                </c:pt>
              </c:strCache>
            </c:strRef>
          </c:tx>
          <c:cat>
            <c:numRef>
              <c:f>Лист1!$C$39:$S$39</c:f>
              <c:numCache>
                <c:formatCode>General</c:formatCode>
                <c:ptCount val="17"/>
                <c:pt idx="0">
                  <c:v>5.882352941176471</c:v>
                </c:pt>
                <c:pt idx="1">
                  <c:v>11.764705882352942</c:v>
                </c:pt>
                <c:pt idx="2">
                  <c:v>17.647058823529413</c:v>
                </c:pt>
                <c:pt idx="3">
                  <c:v>23.529411764705884</c:v>
                </c:pt>
                <c:pt idx="4">
                  <c:v>29.411764705882355</c:v>
                </c:pt>
                <c:pt idx="5">
                  <c:v>35.294117647058826</c:v>
                </c:pt>
                <c:pt idx="6">
                  <c:v>41.176470588235297</c:v>
                </c:pt>
                <c:pt idx="7">
                  <c:v>47.058823529411768</c:v>
                </c:pt>
                <c:pt idx="8">
                  <c:v>52.941176470588239</c:v>
                </c:pt>
                <c:pt idx="9">
                  <c:v>58.82352941176471</c:v>
                </c:pt>
                <c:pt idx="10">
                  <c:v>64.705882352941188</c:v>
                </c:pt>
                <c:pt idx="11">
                  <c:v>70.588235294117652</c:v>
                </c:pt>
                <c:pt idx="12">
                  <c:v>76.470588235294116</c:v>
                </c:pt>
                <c:pt idx="13">
                  <c:v>82.352941176470594</c:v>
                </c:pt>
                <c:pt idx="14">
                  <c:v>88.235294117647072</c:v>
                </c:pt>
                <c:pt idx="15">
                  <c:v>94.117647058823536</c:v>
                </c:pt>
                <c:pt idx="16">
                  <c:v>100</c:v>
                </c:pt>
              </c:numCache>
            </c:numRef>
          </c:cat>
          <c:val>
            <c:numRef>
              <c:f>Лист1!$C$43:$S$43</c:f>
              <c:numCache>
                <c:formatCode>General</c:formatCode>
                <c:ptCount val="17"/>
                <c:pt idx="0">
                  <c:v>25000</c:v>
                </c:pt>
                <c:pt idx="1">
                  <c:v>25000</c:v>
                </c:pt>
                <c:pt idx="2">
                  <c:v>25000</c:v>
                </c:pt>
                <c:pt idx="3">
                  <c:v>25000</c:v>
                </c:pt>
                <c:pt idx="4">
                  <c:v>25000</c:v>
                </c:pt>
                <c:pt idx="5">
                  <c:v>25000</c:v>
                </c:pt>
                <c:pt idx="6">
                  <c:v>25000</c:v>
                </c:pt>
                <c:pt idx="7">
                  <c:v>25000</c:v>
                </c:pt>
                <c:pt idx="8">
                  <c:v>25000</c:v>
                </c:pt>
                <c:pt idx="9">
                  <c:v>25000</c:v>
                </c:pt>
                <c:pt idx="10">
                  <c:v>25000</c:v>
                </c:pt>
                <c:pt idx="11">
                  <c:v>25000</c:v>
                </c:pt>
                <c:pt idx="12">
                  <c:v>25000</c:v>
                </c:pt>
                <c:pt idx="13">
                  <c:v>25000</c:v>
                </c:pt>
                <c:pt idx="14">
                  <c:v>25000</c:v>
                </c:pt>
                <c:pt idx="15">
                  <c:v>25000</c:v>
                </c:pt>
                <c:pt idx="16">
                  <c:v>25000</c:v>
                </c:pt>
              </c:numCache>
            </c:numRef>
          </c:val>
        </c:ser>
        <c:ser>
          <c:idx val="4"/>
          <c:order val="3"/>
          <c:tx>
            <c:strRef>
              <c:f>Лист1!$B$44</c:f>
              <c:strCache>
                <c:ptCount val="1"/>
                <c:pt idx="0">
                  <c:v>Общие затраты (в рублях)</c:v>
                </c:pt>
              </c:strCache>
            </c:strRef>
          </c:tx>
          <c:cat>
            <c:numRef>
              <c:f>Лист1!$C$39:$S$39</c:f>
              <c:numCache>
                <c:formatCode>General</c:formatCode>
                <c:ptCount val="17"/>
                <c:pt idx="0">
                  <c:v>5.882352941176471</c:v>
                </c:pt>
                <c:pt idx="1">
                  <c:v>11.764705882352942</c:v>
                </c:pt>
                <c:pt idx="2">
                  <c:v>17.647058823529413</c:v>
                </c:pt>
                <c:pt idx="3">
                  <c:v>23.529411764705884</c:v>
                </c:pt>
                <c:pt idx="4">
                  <c:v>29.411764705882355</c:v>
                </c:pt>
                <c:pt idx="5">
                  <c:v>35.294117647058826</c:v>
                </c:pt>
                <c:pt idx="6">
                  <c:v>41.176470588235297</c:v>
                </c:pt>
                <c:pt idx="7">
                  <c:v>47.058823529411768</c:v>
                </c:pt>
                <c:pt idx="8">
                  <c:v>52.941176470588239</c:v>
                </c:pt>
                <c:pt idx="9">
                  <c:v>58.82352941176471</c:v>
                </c:pt>
                <c:pt idx="10">
                  <c:v>64.705882352941188</c:v>
                </c:pt>
                <c:pt idx="11">
                  <c:v>70.588235294117652</c:v>
                </c:pt>
                <c:pt idx="12">
                  <c:v>76.470588235294116</c:v>
                </c:pt>
                <c:pt idx="13">
                  <c:v>82.352941176470594</c:v>
                </c:pt>
                <c:pt idx="14">
                  <c:v>88.235294117647072</c:v>
                </c:pt>
                <c:pt idx="15">
                  <c:v>94.117647058823536</c:v>
                </c:pt>
                <c:pt idx="16">
                  <c:v>100</c:v>
                </c:pt>
              </c:numCache>
            </c:numRef>
          </c:cat>
          <c:val>
            <c:numRef>
              <c:f>Лист1!$C$44:$S$44</c:f>
              <c:numCache>
                <c:formatCode>0.00</c:formatCode>
                <c:ptCount val="17"/>
                <c:pt idx="0">
                  <c:v>26764.705882352941</c:v>
                </c:pt>
                <c:pt idx="1">
                  <c:v>28529.411764705881</c:v>
                </c:pt>
                <c:pt idx="2">
                  <c:v>30294.117647058825</c:v>
                </c:pt>
                <c:pt idx="3">
                  <c:v>32058.823529411766</c:v>
                </c:pt>
                <c:pt idx="4">
                  <c:v>33823.529411764706</c:v>
                </c:pt>
                <c:pt idx="5">
                  <c:v>35588.23529411765</c:v>
                </c:pt>
                <c:pt idx="6">
                  <c:v>37352.941176470587</c:v>
                </c:pt>
                <c:pt idx="7">
                  <c:v>39117.647058823532</c:v>
                </c:pt>
                <c:pt idx="8">
                  <c:v>40882.352941176476</c:v>
                </c:pt>
                <c:pt idx="9">
                  <c:v>42647.058823529413</c:v>
                </c:pt>
                <c:pt idx="10">
                  <c:v>44411.764705882357</c:v>
                </c:pt>
                <c:pt idx="11">
                  <c:v>46176.470588235301</c:v>
                </c:pt>
                <c:pt idx="12">
                  <c:v>47941.176470588238</c:v>
                </c:pt>
                <c:pt idx="13">
                  <c:v>49705.882352941175</c:v>
                </c:pt>
                <c:pt idx="14">
                  <c:v>51470.588235294126</c:v>
                </c:pt>
                <c:pt idx="15">
                  <c:v>53235.294117647063</c:v>
                </c:pt>
                <c:pt idx="16" formatCode="0">
                  <c:v>55000</c:v>
                </c:pt>
              </c:numCache>
            </c:numRef>
          </c:val>
        </c:ser>
        <c:dLbls/>
        <c:marker val="1"/>
        <c:axId val="79721216"/>
        <c:axId val="79722752"/>
      </c:lineChart>
      <c:catAx>
        <c:axId val="79721216"/>
        <c:scaling>
          <c:orientation val="minMax"/>
        </c:scaling>
        <c:axPos val="b"/>
        <c:numFmt formatCode="General" sourceLinked="1"/>
        <c:tickLblPos val="nextTo"/>
        <c:crossAx val="79722752"/>
        <c:crosses val="autoZero"/>
        <c:auto val="1"/>
        <c:lblAlgn val="ctr"/>
        <c:lblOffset val="100"/>
      </c:catAx>
      <c:valAx>
        <c:axId val="79722752"/>
        <c:scaling>
          <c:orientation val="minMax"/>
        </c:scaling>
        <c:axPos val="l"/>
        <c:majorGridlines/>
        <c:numFmt formatCode="General" sourceLinked="1"/>
        <c:tickLblPos val="nextTo"/>
        <c:crossAx val="797212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9526</xdr:rowOff>
    </xdr:from>
    <xdr:to>
      <xdr:col>14</xdr:col>
      <xdr:colOff>409574</xdr:colOff>
      <xdr:row>78</xdr:row>
      <xdr:rowOff>76200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9"/>
  <sheetViews>
    <sheetView tabSelected="1" topLeftCell="A36" workbookViewId="0">
      <selection activeCell="M13" sqref="M13"/>
    </sheetView>
  </sheetViews>
  <sheetFormatPr defaultRowHeight="15"/>
  <cols>
    <col min="1" max="1" width="4.7109375" customWidth="1"/>
    <col min="2" max="2" width="49.42578125" customWidth="1"/>
    <col min="3" max="4" width="8.5703125" customWidth="1"/>
    <col min="5" max="5" width="9" customWidth="1"/>
    <col min="6" max="6" width="9.28515625" customWidth="1"/>
    <col min="7" max="7" width="9.140625" customWidth="1"/>
    <col min="8" max="8" width="11.140625" customWidth="1"/>
    <col min="9" max="10" width="8.140625" customWidth="1"/>
    <col min="11" max="11" width="8.42578125" customWidth="1"/>
    <col min="13" max="14" width="8.42578125" customWidth="1"/>
    <col min="16" max="16" width="9.5703125" customWidth="1"/>
    <col min="17" max="17" width="8.28515625" customWidth="1"/>
    <col min="18" max="18" width="9.28515625" customWidth="1"/>
    <col min="19" max="19" width="7.85546875" customWidth="1"/>
  </cols>
  <sheetData>
    <row r="1" spans="1:28">
      <c r="A1" s="9"/>
      <c r="B1" s="9"/>
      <c r="C1" s="9"/>
      <c r="D1" s="9"/>
      <c r="E1" s="9"/>
      <c r="F1" s="9"/>
      <c r="G1" s="9"/>
      <c r="H1" s="9"/>
    </row>
    <row r="2" spans="1:28">
      <c r="A2" s="9"/>
      <c r="B2" s="55" t="s">
        <v>19</v>
      </c>
      <c r="C2" s="55"/>
      <c r="D2" s="55"/>
      <c r="E2" s="55"/>
      <c r="F2" s="55"/>
      <c r="G2" s="55"/>
      <c r="H2" s="55"/>
    </row>
    <row r="3" spans="1:28" ht="28.5" customHeight="1">
      <c r="A3" s="9"/>
      <c r="B3" s="56"/>
      <c r="C3" s="56"/>
      <c r="D3" s="56"/>
      <c r="E3" s="56"/>
      <c r="F3" s="56"/>
      <c r="G3" s="56"/>
      <c r="H3" s="5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8" ht="12.75" customHeight="1">
      <c r="A4" s="22" t="s">
        <v>0</v>
      </c>
      <c r="B4" s="22" t="s">
        <v>1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12</v>
      </c>
      <c r="I4" s="2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</row>
    <row r="5" spans="1:28" s="8" customFormat="1" ht="12" customHeight="1">
      <c r="A5" s="23">
        <v>1</v>
      </c>
      <c r="B5" s="24" t="s">
        <v>2</v>
      </c>
      <c r="C5" s="23">
        <v>400</v>
      </c>
      <c r="D5" s="23">
        <v>300</v>
      </c>
      <c r="E5" s="23">
        <v>350</v>
      </c>
      <c r="F5" s="23">
        <v>350</v>
      </c>
      <c r="G5" s="23">
        <v>300</v>
      </c>
      <c r="H5" s="23">
        <f>SUM(C5:G5)</f>
        <v>1700</v>
      </c>
      <c r="I5" s="2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</row>
    <row r="6" spans="1:28" s="8" customFormat="1" ht="12" customHeight="1">
      <c r="A6" s="26">
        <v>2</v>
      </c>
      <c r="B6" s="27" t="s">
        <v>20</v>
      </c>
      <c r="C6" s="26">
        <v>700</v>
      </c>
      <c r="D6" s="26">
        <v>600</v>
      </c>
      <c r="E6" s="26">
        <v>500</v>
      </c>
      <c r="F6" s="26">
        <v>660</v>
      </c>
      <c r="G6" s="26">
        <v>710</v>
      </c>
      <c r="H6" s="28">
        <f>H7/H5</f>
        <v>634.70588235294122</v>
      </c>
      <c r="I6" s="25"/>
      <c r="J6" s="6"/>
      <c r="K6" s="5"/>
      <c r="L6" s="6"/>
      <c r="M6" s="3"/>
      <c r="N6" s="6"/>
      <c r="O6" s="6"/>
      <c r="P6" s="6"/>
      <c r="Q6" s="6"/>
      <c r="R6" s="6"/>
      <c r="S6" s="6"/>
      <c r="T6" s="6"/>
      <c r="U6" s="6"/>
      <c r="V6" s="7"/>
    </row>
    <row r="7" spans="1:28" s="8" customFormat="1" ht="11.25" customHeight="1">
      <c r="A7" s="23">
        <v>3</v>
      </c>
      <c r="B7" s="29" t="s">
        <v>21</v>
      </c>
      <c r="C7" s="23">
        <f>C5*C6</f>
        <v>280000</v>
      </c>
      <c r="D7" s="23">
        <f t="shared" ref="D7:G7" si="0">D5*D6</f>
        <v>180000</v>
      </c>
      <c r="E7" s="23">
        <f t="shared" si="0"/>
        <v>175000</v>
      </c>
      <c r="F7" s="23">
        <f t="shared" si="0"/>
        <v>231000</v>
      </c>
      <c r="G7" s="23">
        <f t="shared" si="0"/>
        <v>213000</v>
      </c>
      <c r="H7" s="23">
        <f>SUM(C7:G7)</f>
        <v>1079000</v>
      </c>
      <c r="I7" s="25"/>
      <c r="J7" s="6"/>
      <c r="K7" s="6"/>
      <c r="L7" s="6"/>
      <c r="M7" s="3"/>
      <c r="N7" s="6"/>
      <c r="O7" s="6"/>
      <c r="P7" s="6"/>
      <c r="Q7" s="6"/>
      <c r="R7" s="6"/>
      <c r="S7" s="6"/>
      <c r="T7" s="6"/>
      <c r="U7" s="6"/>
      <c r="V7" s="7"/>
    </row>
    <row r="8" spans="1:28" s="8" customFormat="1" ht="11.25" customHeight="1">
      <c r="A8" s="51" t="s">
        <v>8</v>
      </c>
      <c r="B8" s="52"/>
      <c r="C8" s="52"/>
      <c r="D8" s="52"/>
      <c r="E8" s="52"/>
      <c r="F8" s="52"/>
      <c r="G8" s="52"/>
      <c r="H8" s="53"/>
      <c r="I8" s="25"/>
      <c r="J8" s="6"/>
      <c r="K8" s="6"/>
      <c r="L8" s="6"/>
      <c r="M8" s="3"/>
      <c r="N8" s="6"/>
      <c r="O8" s="6"/>
      <c r="P8" s="6"/>
      <c r="Q8" s="6"/>
      <c r="R8" s="6"/>
      <c r="S8" s="6"/>
      <c r="T8" s="6"/>
      <c r="U8" s="6"/>
      <c r="V8" s="7"/>
    </row>
    <row r="9" spans="1:28" s="8" customFormat="1" ht="11.25" customHeight="1">
      <c r="A9" s="26">
        <v>4</v>
      </c>
      <c r="B9" s="27" t="s">
        <v>32</v>
      </c>
      <c r="C9" s="26">
        <v>67000</v>
      </c>
      <c r="D9" s="26">
        <v>65000</v>
      </c>
      <c r="E9" s="26">
        <v>60000</v>
      </c>
      <c r="F9" s="26">
        <v>69000</v>
      </c>
      <c r="G9" s="26">
        <v>60000</v>
      </c>
      <c r="H9" s="26">
        <f>SUM(C9:G9)</f>
        <v>321000</v>
      </c>
      <c r="I9" s="2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8" s="8" customFormat="1" ht="11.25" customHeight="1">
      <c r="A10" s="26">
        <v>5</v>
      </c>
      <c r="B10" s="27" t="s">
        <v>9</v>
      </c>
      <c r="C10" s="26">
        <v>26000</v>
      </c>
      <c r="D10" s="26">
        <v>38000</v>
      </c>
      <c r="E10" s="26">
        <v>29000</v>
      </c>
      <c r="F10" s="26">
        <v>38000</v>
      </c>
      <c r="G10" s="26">
        <v>42000</v>
      </c>
      <c r="H10" s="26">
        <f>SUM(C10:G10)</f>
        <v>173000</v>
      </c>
      <c r="I10" s="25"/>
    </row>
    <row r="11" spans="1:28" s="8" customFormat="1" ht="11.25" customHeight="1">
      <c r="A11" s="26">
        <v>6</v>
      </c>
      <c r="B11" s="30" t="s">
        <v>10</v>
      </c>
      <c r="C11" s="26">
        <v>2600</v>
      </c>
      <c r="D11" s="26">
        <v>10000</v>
      </c>
      <c r="E11" s="26">
        <v>6300</v>
      </c>
      <c r="F11" s="26">
        <v>5250</v>
      </c>
      <c r="G11" s="26">
        <v>1850</v>
      </c>
      <c r="H11" s="26">
        <f>SUM(C11:G11)</f>
        <v>26000</v>
      </c>
      <c r="I11" s="25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8" customFormat="1" ht="11.25" customHeight="1">
      <c r="A12" s="26">
        <v>7</v>
      </c>
      <c r="B12" s="27" t="s">
        <v>30</v>
      </c>
      <c r="C12" s="31">
        <f>H12/H5*C5</f>
        <v>3529.4117647058824</v>
      </c>
      <c r="D12" s="31">
        <f>H12/H5*D5</f>
        <v>2647.0588235294122</v>
      </c>
      <c r="E12" s="31">
        <f>H12/H5*E5</f>
        <v>3088.2352941176473</v>
      </c>
      <c r="F12" s="31">
        <f>H12/H5*F5</f>
        <v>3088.2352941176473</v>
      </c>
      <c r="G12" s="31">
        <f>H12/H5*G5</f>
        <v>2647.0588235294122</v>
      </c>
      <c r="H12" s="26">
        <v>15000</v>
      </c>
      <c r="I12" s="25"/>
      <c r="J12" s="7"/>
      <c r="K12" s="1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s="8" customFormat="1" ht="11.25" customHeight="1">
      <c r="A13" s="26">
        <v>8</v>
      </c>
      <c r="B13" s="27" t="s">
        <v>11</v>
      </c>
      <c r="C13" s="31">
        <f>H13/H5*C5</f>
        <v>4705.8823529411766</v>
      </c>
      <c r="D13" s="31">
        <f>H13/H5*D5</f>
        <v>3529.4117647058824</v>
      </c>
      <c r="E13" s="31">
        <f>H13/H5*E5</f>
        <v>4117.6470588235297</v>
      </c>
      <c r="F13" s="31">
        <f>H13/H5*F5</f>
        <v>4117.6470588235297</v>
      </c>
      <c r="G13" s="31">
        <f>H13/H5*G5</f>
        <v>3529.4117647058824</v>
      </c>
      <c r="H13" s="26">
        <v>20000</v>
      </c>
      <c r="I13" s="25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8" customFormat="1" ht="10.5" customHeight="1">
      <c r="A14" s="26">
        <v>9</v>
      </c>
      <c r="B14" s="27" t="s">
        <v>22</v>
      </c>
      <c r="C14" s="31">
        <f>H14/H5*C5</f>
        <v>2352.9411764705883</v>
      </c>
      <c r="D14" s="31">
        <f>H14/H5*D5</f>
        <v>1764.7058823529412</v>
      </c>
      <c r="E14" s="31">
        <f>H14/H5*E5</f>
        <v>2058.8235294117649</v>
      </c>
      <c r="F14" s="31">
        <f>H14/H5*F5</f>
        <v>2058.8235294117649</v>
      </c>
      <c r="G14" s="31">
        <v>1736</v>
      </c>
      <c r="H14" s="26">
        <v>10000</v>
      </c>
      <c r="I14" s="25"/>
      <c r="J14" s="7"/>
      <c r="K14" s="7"/>
      <c r="L14" s="3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s="8" customFormat="1" ht="12.75" customHeight="1">
      <c r="A15" s="26">
        <v>10</v>
      </c>
      <c r="B15" s="24" t="s">
        <v>23</v>
      </c>
      <c r="C15" s="32">
        <f t="shared" ref="C15:H15" si="1">C9+C10+C11+C12+C13+C14</f>
        <v>106188.23529411765</v>
      </c>
      <c r="D15" s="32">
        <f t="shared" si="1"/>
        <v>120941.17647058824</v>
      </c>
      <c r="E15" s="32">
        <f t="shared" si="1"/>
        <v>104564.70588235294</v>
      </c>
      <c r="F15" s="32">
        <f t="shared" si="1"/>
        <v>121514.70588235294</v>
      </c>
      <c r="G15" s="32">
        <f t="shared" si="1"/>
        <v>111762.4705882353</v>
      </c>
      <c r="H15" s="23">
        <f t="shared" si="1"/>
        <v>565000</v>
      </c>
      <c r="I15" s="33"/>
      <c r="J15" s="16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7"/>
    </row>
    <row r="16" spans="1:28" s="8" customFormat="1" ht="14.25" customHeight="1">
      <c r="A16" s="26">
        <v>11</v>
      </c>
      <c r="B16" s="27" t="s">
        <v>31</v>
      </c>
      <c r="C16" s="31">
        <f>C7-C15</f>
        <v>173811.76470588235</v>
      </c>
      <c r="D16" s="31">
        <f t="shared" ref="D16:H16" si="2">D7-D15</f>
        <v>59058.823529411762</v>
      </c>
      <c r="E16" s="31">
        <f t="shared" si="2"/>
        <v>70435.294117647063</v>
      </c>
      <c r="F16" s="31">
        <f t="shared" si="2"/>
        <v>109485.29411764706</v>
      </c>
      <c r="G16" s="31">
        <f t="shared" si="2"/>
        <v>101237.5294117647</v>
      </c>
      <c r="H16" s="31">
        <f t="shared" si="2"/>
        <v>514000</v>
      </c>
      <c r="I16" s="34"/>
      <c r="J16" s="16"/>
      <c r="K16" s="1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7"/>
    </row>
    <row r="17" spans="1:28" s="8" customFormat="1" ht="12" customHeight="1">
      <c r="A17" s="26">
        <v>12</v>
      </c>
      <c r="B17" s="27" t="s">
        <v>24</v>
      </c>
      <c r="C17" s="31">
        <f>C16/C5</f>
        <v>434.52941176470586</v>
      </c>
      <c r="D17" s="31">
        <f t="shared" ref="D17:H17" si="3">D16/D5</f>
        <v>196.8627450980392</v>
      </c>
      <c r="E17" s="31">
        <f t="shared" si="3"/>
        <v>201.24369747899161</v>
      </c>
      <c r="F17" s="31">
        <f t="shared" si="3"/>
        <v>312.81512605042019</v>
      </c>
      <c r="G17" s="31">
        <f t="shared" si="3"/>
        <v>337.458431372549</v>
      </c>
      <c r="H17" s="28">
        <f t="shared" si="3"/>
        <v>302.35294117647061</v>
      </c>
      <c r="I17" s="25"/>
      <c r="J17" s="16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7"/>
    </row>
    <row r="18" spans="1:28" s="8" customFormat="1" ht="12.75" customHeight="1">
      <c r="A18" s="26">
        <v>13</v>
      </c>
      <c r="B18" s="27" t="s">
        <v>29</v>
      </c>
      <c r="C18" s="31">
        <f>C15/C5</f>
        <v>265.47058823529414</v>
      </c>
      <c r="D18" s="31">
        <f t="shared" ref="D18:H18" si="4">D15/D5</f>
        <v>403.13725490196077</v>
      </c>
      <c r="E18" s="31">
        <f t="shared" si="4"/>
        <v>298.75630252100837</v>
      </c>
      <c r="F18" s="31">
        <f t="shared" si="4"/>
        <v>347.18487394957981</v>
      </c>
      <c r="G18" s="31">
        <f t="shared" si="4"/>
        <v>372.541568627451</v>
      </c>
      <c r="H18" s="28">
        <f t="shared" si="4"/>
        <v>332.35294117647061</v>
      </c>
      <c r="I18" s="25"/>
      <c r="J18" s="16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7"/>
    </row>
    <row r="19" spans="1:28" s="8" customFormat="1" ht="13.5" customHeight="1">
      <c r="A19" s="51" t="s">
        <v>13</v>
      </c>
      <c r="B19" s="49"/>
      <c r="C19" s="54"/>
      <c r="D19" s="54"/>
      <c r="E19" s="54"/>
      <c r="F19" s="54"/>
      <c r="G19" s="54"/>
      <c r="H19" s="50"/>
      <c r="I19" s="25"/>
      <c r="J19" s="16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8"/>
      <c r="AB19" s="7"/>
    </row>
    <row r="20" spans="1:28" s="8" customFormat="1" ht="12.75" customHeight="1">
      <c r="A20" s="26">
        <v>14</v>
      </c>
      <c r="B20" s="35" t="s">
        <v>18</v>
      </c>
      <c r="C20" s="48">
        <v>18000</v>
      </c>
      <c r="D20" s="49"/>
      <c r="E20" s="49"/>
      <c r="F20" s="49"/>
      <c r="G20" s="50"/>
      <c r="H20" s="36">
        <f t="shared" ref="H20:H26" si="5">SUM(C20)</f>
        <v>18000</v>
      </c>
      <c r="I20" s="25"/>
      <c r="J20" s="16"/>
      <c r="K20" s="11"/>
      <c r="L20" s="11"/>
      <c r="M20" s="11"/>
      <c r="N20" s="11"/>
      <c r="O20" s="11"/>
      <c r="P20" s="11"/>
      <c r="Q20" s="11"/>
      <c r="R20" s="11"/>
      <c r="S20" s="11"/>
      <c r="T20" s="14"/>
      <c r="U20" s="11"/>
      <c r="V20" s="11"/>
      <c r="W20" s="11"/>
      <c r="X20" s="11"/>
      <c r="Y20" s="11"/>
      <c r="Z20" s="11"/>
      <c r="AA20" s="11"/>
      <c r="AB20" s="7"/>
    </row>
    <row r="21" spans="1:28" s="8" customFormat="1" ht="12.75" customHeight="1">
      <c r="A21" s="26">
        <v>15</v>
      </c>
      <c r="B21" s="37" t="s">
        <v>14</v>
      </c>
      <c r="C21" s="48">
        <v>9600</v>
      </c>
      <c r="D21" s="49"/>
      <c r="E21" s="49"/>
      <c r="F21" s="49"/>
      <c r="G21" s="50"/>
      <c r="H21" s="36">
        <f t="shared" si="5"/>
        <v>9600</v>
      </c>
      <c r="I21" s="25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s="8" customFormat="1" ht="12.75" customHeight="1">
      <c r="A22" s="26">
        <v>16</v>
      </c>
      <c r="B22" s="37" t="s">
        <v>15</v>
      </c>
      <c r="C22" s="48">
        <v>24600</v>
      </c>
      <c r="D22" s="49"/>
      <c r="E22" s="49"/>
      <c r="F22" s="49"/>
      <c r="G22" s="50"/>
      <c r="H22" s="36">
        <f t="shared" si="5"/>
        <v>24600</v>
      </c>
      <c r="I22" s="2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s="8" customFormat="1" ht="12" customHeight="1">
      <c r="A23" s="26">
        <v>17</v>
      </c>
      <c r="B23" s="37" t="s">
        <v>16</v>
      </c>
      <c r="C23" s="48">
        <v>36000</v>
      </c>
      <c r="D23" s="49"/>
      <c r="E23" s="49"/>
      <c r="F23" s="49"/>
      <c r="G23" s="50"/>
      <c r="H23" s="36">
        <f t="shared" si="5"/>
        <v>36000</v>
      </c>
      <c r="I23" s="2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s="8" customFormat="1" ht="11.25" customHeight="1">
      <c r="A24" s="26">
        <v>17</v>
      </c>
      <c r="B24" s="35" t="s">
        <v>17</v>
      </c>
      <c r="C24" s="48">
        <v>3200</v>
      </c>
      <c r="D24" s="49"/>
      <c r="E24" s="49"/>
      <c r="F24" s="49"/>
      <c r="G24" s="50"/>
      <c r="H24" s="36">
        <f t="shared" si="5"/>
        <v>3200</v>
      </c>
      <c r="I24" s="25"/>
    </row>
    <row r="25" spans="1:28" s="8" customFormat="1" ht="10.5" customHeight="1">
      <c r="A25" s="26">
        <v>18</v>
      </c>
      <c r="B25" s="35" t="s">
        <v>33</v>
      </c>
      <c r="C25" s="48">
        <v>100000</v>
      </c>
      <c r="D25" s="49"/>
      <c r="E25" s="49"/>
      <c r="F25" s="49"/>
      <c r="G25" s="50"/>
      <c r="H25" s="36">
        <f t="shared" si="5"/>
        <v>100000</v>
      </c>
      <c r="I25" s="25"/>
    </row>
    <row r="26" spans="1:28" s="8" customFormat="1" ht="12" customHeight="1">
      <c r="A26" s="23">
        <v>19</v>
      </c>
      <c r="B26" s="38" t="s">
        <v>26</v>
      </c>
      <c r="C26" s="51">
        <f>SUM(C20:C25)</f>
        <v>191400</v>
      </c>
      <c r="D26" s="52"/>
      <c r="E26" s="52"/>
      <c r="F26" s="52"/>
      <c r="G26" s="53"/>
      <c r="H26" s="39">
        <f t="shared" si="5"/>
        <v>191400</v>
      </c>
      <c r="I26" s="25"/>
    </row>
    <row r="27" spans="1:28" s="8" customFormat="1" ht="11.25" customHeight="1">
      <c r="A27" s="26">
        <v>20</v>
      </c>
      <c r="B27" s="40" t="s">
        <v>27</v>
      </c>
      <c r="C27" s="48">
        <v>90000</v>
      </c>
      <c r="D27" s="49"/>
      <c r="E27" s="49"/>
      <c r="F27" s="49"/>
      <c r="G27" s="50"/>
      <c r="H27" s="26">
        <v>90000</v>
      </c>
      <c r="I27" s="25"/>
    </row>
    <row r="28" spans="1:28" s="8" customFormat="1" ht="11.25" customHeight="1">
      <c r="A28" s="26">
        <v>21</v>
      </c>
      <c r="B28" s="29" t="s">
        <v>25</v>
      </c>
      <c r="C28" s="51">
        <f>C26+C27</f>
        <v>281400</v>
      </c>
      <c r="D28" s="52"/>
      <c r="E28" s="49"/>
      <c r="F28" s="52"/>
      <c r="G28" s="53"/>
      <c r="H28" s="23">
        <f>SUM(C28:G28)</f>
        <v>281400</v>
      </c>
      <c r="I28" s="25"/>
    </row>
    <row r="29" spans="1:28" s="8" customFormat="1" ht="12" customHeight="1">
      <c r="A29" s="26">
        <v>22</v>
      </c>
      <c r="B29" s="29" t="s">
        <v>28</v>
      </c>
      <c r="C29" s="51"/>
      <c r="D29" s="52"/>
      <c r="E29" s="49"/>
      <c r="F29" s="52"/>
      <c r="G29" s="53"/>
      <c r="H29" s="23">
        <f>H15+C28</f>
        <v>846400</v>
      </c>
      <c r="I29" s="25"/>
    </row>
    <row r="30" spans="1:28" s="8" customFormat="1" ht="12" customHeight="1">
      <c r="A30" s="23">
        <v>23</v>
      </c>
      <c r="B30" s="24" t="s">
        <v>34</v>
      </c>
      <c r="C30" s="61"/>
      <c r="D30" s="62"/>
      <c r="E30" s="62"/>
      <c r="F30" s="62"/>
      <c r="G30" s="63"/>
      <c r="H30" s="41">
        <f>H28/(H6-H18)</f>
        <v>930.70038910505832</v>
      </c>
      <c r="I30" s="25"/>
    </row>
    <row r="31" spans="1:28" s="19" customFormat="1" ht="12.75" customHeight="1">
      <c r="A31" s="23">
        <v>24</v>
      </c>
      <c r="B31" s="24" t="s">
        <v>35</v>
      </c>
      <c r="C31" s="61"/>
      <c r="D31" s="62"/>
      <c r="E31" s="62"/>
      <c r="F31" s="62"/>
      <c r="G31" s="63"/>
      <c r="H31" s="41">
        <f>H7*H28/(H7-H15)</f>
        <v>590721.01167315175</v>
      </c>
      <c r="I31" s="25"/>
    </row>
    <row r="32" spans="1:28">
      <c r="A32" s="20"/>
      <c r="B32" s="20" t="s">
        <v>42</v>
      </c>
      <c r="C32" s="20"/>
      <c r="D32" s="20"/>
      <c r="E32" s="20"/>
      <c r="F32" s="20"/>
      <c r="G32" s="20"/>
      <c r="H32" s="20"/>
      <c r="I32" s="20"/>
    </row>
    <row r="33" spans="1:20">
      <c r="A33" s="20"/>
      <c r="B33" s="46" t="s">
        <v>40</v>
      </c>
      <c r="C33" s="46">
        <v>100</v>
      </c>
      <c r="D33" s="33"/>
      <c r="E33" s="20"/>
      <c r="F33" s="20"/>
      <c r="G33" s="20"/>
      <c r="H33" s="20"/>
      <c r="I33" s="20"/>
    </row>
    <row r="34" spans="1:20">
      <c r="A34" s="20"/>
      <c r="B34" s="46" t="s">
        <v>41</v>
      </c>
      <c r="C34" s="46">
        <v>100000</v>
      </c>
      <c r="D34" s="57" t="s">
        <v>43</v>
      </c>
      <c r="E34" s="58"/>
      <c r="F34" s="58"/>
      <c r="G34" s="58"/>
      <c r="H34" s="58"/>
      <c r="I34" s="58"/>
      <c r="J34" s="58"/>
      <c r="K34" s="58"/>
    </row>
    <row r="35" spans="1:20">
      <c r="A35" s="20"/>
      <c r="B35" s="46" t="s">
        <v>36</v>
      </c>
      <c r="C35" s="46">
        <v>30000</v>
      </c>
      <c r="D35" s="33"/>
      <c r="E35" s="20"/>
      <c r="F35" s="20"/>
      <c r="G35" s="20"/>
      <c r="H35" s="20"/>
      <c r="I35" s="20"/>
    </row>
    <row r="36" spans="1:20">
      <c r="A36" s="20"/>
      <c r="B36" s="46" t="s">
        <v>37</v>
      </c>
      <c r="C36" s="46">
        <v>25000</v>
      </c>
      <c r="D36" s="33"/>
      <c r="E36" s="20">
        <f>100/17</f>
        <v>5.882352941176471</v>
      </c>
      <c r="F36" s="59" t="s">
        <v>44</v>
      </c>
      <c r="G36" s="60"/>
      <c r="H36" s="60"/>
      <c r="I36" s="60"/>
      <c r="J36" s="60"/>
    </row>
    <row r="37" spans="1:20">
      <c r="A37" s="20"/>
      <c r="B37" s="46" t="s">
        <v>38</v>
      </c>
      <c r="C37" s="46">
        <f>C35+C36</f>
        <v>55000</v>
      </c>
      <c r="D37" s="33"/>
      <c r="E37" s="20"/>
      <c r="F37" s="20"/>
      <c r="G37" s="20"/>
      <c r="H37" s="20"/>
      <c r="I37" s="20"/>
    </row>
    <row r="38" spans="1:20">
      <c r="A38" s="20"/>
      <c r="B38" s="20"/>
      <c r="C38" s="20"/>
      <c r="D38" s="20"/>
      <c r="E38" s="20"/>
      <c r="F38" s="20"/>
      <c r="G38" s="20"/>
      <c r="H38" s="20"/>
      <c r="I38" s="20"/>
    </row>
    <row r="39" spans="1:20">
      <c r="A39" s="20"/>
      <c r="B39" s="45" t="s">
        <v>40</v>
      </c>
      <c r="C39" s="21">
        <f>C33/100*E36</f>
        <v>5.882352941176471</v>
      </c>
      <c r="D39" s="21">
        <f>C33/100*E36*2</f>
        <v>11.764705882352942</v>
      </c>
      <c r="E39" s="21">
        <f>C33/100*E36*3</f>
        <v>17.647058823529413</v>
      </c>
      <c r="F39" s="21">
        <f>C33/100*E36*4</f>
        <v>23.529411764705884</v>
      </c>
      <c r="G39" s="21">
        <f>C33/100*E36*5</f>
        <v>29.411764705882355</v>
      </c>
      <c r="H39" s="21">
        <f>C33/100*E36*6</f>
        <v>35.294117647058826</v>
      </c>
      <c r="I39" s="21">
        <f>C33/100*E36*7</f>
        <v>41.176470588235297</v>
      </c>
      <c r="J39" s="21">
        <f>C33/100*E36*8</f>
        <v>47.058823529411768</v>
      </c>
      <c r="K39" s="26">
        <f>C33/100*E36*9</f>
        <v>52.941176470588239</v>
      </c>
      <c r="L39" s="21">
        <f>C33/100*E36*10</f>
        <v>58.82352941176471</v>
      </c>
      <c r="M39" s="21">
        <f>C33/100*E36*11</f>
        <v>64.705882352941188</v>
      </c>
      <c r="N39" s="21">
        <f>C33/100*E36*12</f>
        <v>70.588235294117652</v>
      </c>
      <c r="O39" s="21">
        <f>C33/100*E36*13</f>
        <v>76.470588235294116</v>
      </c>
      <c r="P39" s="21">
        <f>C33/100*E36*14</f>
        <v>82.352941176470594</v>
      </c>
      <c r="Q39" s="21">
        <f>C33/100*E36*15</f>
        <v>88.235294117647072</v>
      </c>
      <c r="R39" s="21">
        <f>C33/100*E36*16</f>
        <v>94.117647058823536</v>
      </c>
      <c r="S39" s="21">
        <f>C33/100*E36*17</f>
        <v>100</v>
      </c>
      <c r="T39" s="20"/>
    </row>
    <row r="40" spans="1:20">
      <c r="B40" s="45" t="s">
        <v>39</v>
      </c>
      <c r="C40" s="47">
        <f>C34/C33</f>
        <v>1000</v>
      </c>
      <c r="D40" s="47">
        <f t="shared" ref="D40:S40" si="6">D41/D39</f>
        <v>1000</v>
      </c>
      <c r="E40" s="47">
        <f t="shared" si="6"/>
        <v>1000</v>
      </c>
      <c r="F40" s="47">
        <f t="shared" si="6"/>
        <v>1000</v>
      </c>
      <c r="G40" s="47">
        <f t="shared" si="6"/>
        <v>1000.0000000000001</v>
      </c>
      <c r="H40" s="47">
        <f t="shared" si="6"/>
        <v>1000</v>
      </c>
      <c r="I40" s="47">
        <f t="shared" si="6"/>
        <v>999.99999999999989</v>
      </c>
      <c r="J40" s="47">
        <f t="shared" si="6"/>
        <v>1000</v>
      </c>
      <c r="K40" s="47">
        <f t="shared" si="6"/>
        <v>1000</v>
      </c>
      <c r="L40" s="47">
        <f t="shared" si="6"/>
        <v>1000.0000000000001</v>
      </c>
      <c r="M40" s="47">
        <f t="shared" si="6"/>
        <v>1000</v>
      </c>
      <c r="N40" s="47">
        <f t="shared" si="6"/>
        <v>1000</v>
      </c>
      <c r="O40" s="47">
        <f t="shared" si="6"/>
        <v>1000</v>
      </c>
      <c r="P40" s="47">
        <f t="shared" si="6"/>
        <v>999.99999999999989</v>
      </c>
      <c r="Q40" s="47">
        <f t="shared" si="6"/>
        <v>1000.0000000000001</v>
      </c>
      <c r="R40" s="47">
        <f t="shared" si="6"/>
        <v>1000</v>
      </c>
      <c r="S40" s="47">
        <f t="shared" si="6"/>
        <v>1000</v>
      </c>
      <c r="T40" s="20"/>
    </row>
    <row r="41" spans="1:20">
      <c r="B41" s="45" t="s">
        <v>41</v>
      </c>
      <c r="C41" s="21">
        <f>C34/C33*C39</f>
        <v>5882.3529411764712</v>
      </c>
      <c r="D41" s="42">
        <f>C34/C33*D39</f>
        <v>11764.705882352942</v>
      </c>
      <c r="E41" s="42">
        <f>C34/C33*E39</f>
        <v>17647.058823529413</v>
      </c>
      <c r="F41" s="42">
        <f>C34/C33*F39</f>
        <v>23529.411764705885</v>
      </c>
      <c r="G41" s="42">
        <f>C34/C33*G39</f>
        <v>29411.764705882357</v>
      </c>
      <c r="H41" s="42">
        <f>C34/C33*H39</f>
        <v>35294.117647058825</v>
      </c>
      <c r="I41" s="42">
        <f>C34/C33*I39</f>
        <v>41176.470588235294</v>
      </c>
      <c r="J41" s="42">
        <f>C34/C33*J39</f>
        <v>47058.823529411769</v>
      </c>
      <c r="K41" s="28">
        <f>C34/C33*K39</f>
        <v>52941.176470588238</v>
      </c>
      <c r="L41" s="42">
        <f>C34/C33*L39</f>
        <v>58823.529411764714</v>
      </c>
      <c r="M41" s="42">
        <f>C34/C33*M39</f>
        <v>64705.882352941189</v>
      </c>
      <c r="N41" s="42">
        <f>C34/C33*N39</f>
        <v>70588.23529411765</v>
      </c>
      <c r="O41" s="42">
        <f>C34/C33*O39</f>
        <v>76470.588235294112</v>
      </c>
      <c r="P41" s="42">
        <f>C34/C33*P39</f>
        <v>82352.941176470587</v>
      </c>
      <c r="Q41" s="42">
        <f>C34/C33*Q39</f>
        <v>88235.294117647078</v>
      </c>
      <c r="R41" s="42">
        <f>C34/C33*R39</f>
        <v>94117.647058823539</v>
      </c>
      <c r="S41" s="43">
        <f>C34/C33*S39</f>
        <v>100000</v>
      </c>
      <c r="T41" s="20"/>
    </row>
    <row r="42" spans="1:20">
      <c r="B42" s="45" t="s">
        <v>36</v>
      </c>
      <c r="C42" s="44">
        <f>C35/C33*C39</f>
        <v>1764.7058823529412</v>
      </c>
      <c r="D42" s="42">
        <f>C35/C33*D39</f>
        <v>3529.4117647058824</v>
      </c>
      <c r="E42" s="42">
        <f>C35/C33*E39</f>
        <v>5294.1176470588243</v>
      </c>
      <c r="F42" s="42">
        <f>C35/C33*F39</f>
        <v>7058.8235294117649</v>
      </c>
      <c r="G42" s="42">
        <f>C35/C33*G39</f>
        <v>8823.5294117647063</v>
      </c>
      <c r="H42" s="42">
        <f>C35/C33*H39</f>
        <v>10588.235294117649</v>
      </c>
      <c r="I42" s="42">
        <f>C35/C33*I39</f>
        <v>12352.941176470589</v>
      </c>
      <c r="J42" s="42">
        <f>C35/C33*J39</f>
        <v>14117.64705882353</v>
      </c>
      <c r="K42" s="28">
        <f>C35/C33*K39</f>
        <v>15882.352941176472</v>
      </c>
      <c r="L42" s="42">
        <f>C35/C33*L39</f>
        <v>17647.058823529413</v>
      </c>
      <c r="M42" s="42">
        <f>C35/C33*M39</f>
        <v>19411.764705882357</v>
      </c>
      <c r="N42" s="42">
        <f>C35/C33*N39</f>
        <v>21176.470588235297</v>
      </c>
      <c r="O42" s="42">
        <f>C35/C33*O39</f>
        <v>22941.176470588234</v>
      </c>
      <c r="P42" s="42">
        <f>C35/C33*P39</f>
        <v>24705.882352941178</v>
      </c>
      <c r="Q42" s="42">
        <f>C35/C33*Q39</f>
        <v>26470.588235294123</v>
      </c>
      <c r="R42" s="42">
        <f>C35/C33*R39</f>
        <v>28235.294117647059</v>
      </c>
      <c r="S42" s="43">
        <f>C35/C33*C33</f>
        <v>30000</v>
      </c>
      <c r="T42" s="20"/>
    </row>
    <row r="43" spans="1:20">
      <c r="B43" s="45" t="s">
        <v>37</v>
      </c>
      <c r="C43" s="26">
        <f>C36</f>
        <v>25000</v>
      </c>
      <c r="D43" s="26">
        <f>C36</f>
        <v>25000</v>
      </c>
      <c r="E43" s="26">
        <f>C36</f>
        <v>25000</v>
      </c>
      <c r="F43" s="26">
        <f>C36</f>
        <v>25000</v>
      </c>
      <c r="G43" s="26">
        <f>C36</f>
        <v>25000</v>
      </c>
      <c r="H43" s="26">
        <f>C36</f>
        <v>25000</v>
      </c>
      <c r="I43" s="26">
        <f>C36</f>
        <v>25000</v>
      </c>
      <c r="J43" s="26">
        <f>C36</f>
        <v>25000</v>
      </c>
      <c r="K43" s="26">
        <f>C36</f>
        <v>25000</v>
      </c>
      <c r="L43" s="26">
        <f>C36</f>
        <v>25000</v>
      </c>
      <c r="M43" s="26">
        <f>C36</f>
        <v>25000</v>
      </c>
      <c r="N43" s="26">
        <f>C36</f>
        <v>25000</v>
      </c>
      <c r="O43" s="26">
        <f>C36</f>
        <v>25000</v>
      </c>
      <c r="P43" s="26">
        <f>C36</f>
        <v>25000</v>
      </c>
      <c r="Q43" s="26">
        <f>C36</f>
        <v>25000</v>
      </c>
      <c r="R43" s="26">
        <f>C36</f>
        <v>25000</v>
      </c>
      <c r="S43" s="26">
        <f>C36</f>
        <v>25000</v>
      </c>
      <c r="T43" s="20"/>
    </row>
    <row r="44" spans="1:20">
      <c r="B44" s="45" t="s">
        <v>38</v>
      </c>
      <c r="C44" s="42">
        <f>C43+C42</f>
        <v>26764.705882352941</v>
      </c>
      <c r="D44" s="42">
        <f t="shared" ref="D44:S44" si="7">D42+D43</f>
        <v>28529.411764705881</v>
      </c>
      <c r="E44" s="42">
        <f t="shared" si="7"/>
        <v>30294.117647058825</v>
      </c>
      <c r="F44" s="42">
        <f t="shared" si="7"/>
        <v>32058.823529411766</v>
      </c>
      <c r="G44" s="42">
        <f t="shared" si="7"/>
        <v>33823.529411764706</v>
      </c>
      <c r="H44" s="42">
        <f t="shared" si="7"/>
        <v>35588.23529411765</v>
      </c>
      <c r="I44" s="42">
        <f t="shared" si="7"/>
        <v>37352.941176470587</v>
      </c>
      <c r="J44" s="42">
        <f t="shared" si="7"/>
        <v>39117.647058823532</v>
      </c>
      <c r="K44" s="28">
        <f t="shared" si="7"/>
        <v>40882.352941176476</v>
      </c>
      <c r="L44" s="42">
        <f t="shared" si="7"/>
        <v>42647.058823529413</v>
      </c>
      <c r="M44" s="42">
        <f t="shared" si="7"/>
        <v>44411.764705882357</v>
      </c>
      <c r="N44" s="42">
        <f t="shared" si="7"/>
        <v>46176.470588235301</v>
      </c>
      <c r="O44" s="42">
        <f t="shared" si="7"/>
        <v>47941.176470588238</v>
      </c>
      <c r="P44" s="42">
        <f t="shared" si="7"/>
        <v>49705.882352941175</v>
      </c>
      <c r="Q44" s="42">
        <f t="shared" si="7"/>
        <v>51470.588235294126</v>
      </c>
      <c r="R44" s="42">
        <f t="shared" si="7"/>
        <v>53235.294117647063</v>
      </c>
      <c r="S44" s="43">
        <f t="shared" si="7"/>
        <v>55000</v>
      </c>
      <c r="T44" s="20"/>
    </row>
    <row r="45" spans="1:20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66" spans="2:19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2:19">
      <c r="B67" s="2"/>
      <c r="C67" s="2"/>
      <c r="D67" s="2"/>
      <c r="E67" s="2"/>
      <c r="F67" s="2"/>
      <c r="G67" s="2"/>
      <c r="H67" s="2"/>
      <c r="I67" s="2"/>
      <c r="J67" s="2"/>
      <c r="K67" s="7"/>
      <c r="L67" s="2"/>
      <c r="M67" s="2"/>
      <c r="N67" s="2"/>
      <c r="O67" s="2"/>
      <c r="P67" s="2"/>
      <c r="Q67" s="2"/>
      <c r="R67" s="2"/>
      <c r="S67" s="2"/>
    </row>
    <row r="68" spans="2:19">
      <c r="B68" s="2"/>
      <c r="C68" s="2"/>
      <c r="D68" s="2"/>
      <c r="E68" s="2"/>
      <c r="F68" s="2"/>
      <c r="G68" s="2"/>
      <c r="H68" s="2"/>
      <c r="I68" s="2"/>
      <c r="J68" s="2"/>
      <c r="K68" s="7"/>
      <c r="L68" s="2"/>
      <c r="M68" s="2"/>
      <c r="N68" s="2"/>
      <c r="O68" s="2"/>
      <c r="P68" s="2"/>
      <c r="Q68" s="2"/>
      <c r="R68" s="2"/>
      <c r="S68" s="2"/>
    </row>
    <row r="69" spans="2:19">
      <c r="B69" s="13"/>
      <c r="C69" s="10"/>
      <c r="D69" s="10"/>
      <c r="E69" s="10"/>
      <c r="F69" s="10"/>
      <c r="G69" s="10"/>
      <c r="H69" s="10"/>
      <c r="I69" s="10"/>
      <c r="J69" s="10"/>
      <c r="K69" s="11"/>
      <c r="L69" s="10"/>
      <c r="M69" s="10"/>
      <c r="N69" s="10"/>
      <c r="O69" s="10"/>
      <c r="P69" s="10"/>
      <c r="Q69" s="10"/>
      <c r="R69" s="10"/>
      <c r="S69" s="10"/>
    </row>
    <row r="70" spans="2:19">
      <c r="B70" s="13"/>
      <c r="C70" s="10"/>
      <c r="D70" s="12"/>
      <c r="E70" s="12"/>
      <c r="F70" s="12"/>
      <c r="G70" s="12"/>
      <c r="H70" s="12"/>
      <c r="I70" s="12"/>
      <c r="J70" s="12"/>
      <c r="K70" s="14"/>
      <c r="L70" s="12"/>
      <c r="M70" s="12"/>
      <c r="N70" s="12"/>
      <c r="O70" s="12"/>
      <c r="P70" s="12"/>
      <c r="Q70" s="12"/>
      <c r="R70" s="12"/>
      <c r="S70" s="12"/>
    </row>
    <row r="71" spans="2:19">
      <c r="B71" s="13"/>
      <c r="C71" s="14"/>
      <c r="D71" s="12"/>
      <c r="E71" s="12"/>
      <c r="F71" s="12"/>
      <c r="G71" s="12"/>
      <c r="H71" s="12"/>
      <c r="I71" s="12"/>
      <c r="J71" s="12"/>
      <c r="K71" s="14"/>
      <c r="L71" s="12"/>
      <c r="M71" s="12"/>
      <c r="N71" s="12"/>
      <c r="O71" s="12"/>
      <c r="P71" s="12"/>
      <c r="Q71" s="12"/>
      <c r="R71" s="12"/>
      <c r="S71" s="12"/>
    </row>
    <row r="72" spans="2:19">
      <c r="B72" s="1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19">
      <c r="B73" s="13"/>
      <c r="C73" s="12"/>
      <c r="D73" s="12"/>
      <c r="E73" s="12"/>
      <c r="F73" s="12"/>
      <c r="G73" s="12"/>
      <c r="H73" s="12"/>
      <c r="I73" s="12"/>
      <c r="J73" s="12"/>
      <c r="K73" s="14"/>
      <c r="L73" s="12"/>
      <c r="M73" s="12"/>
      <c r="N73" s="12"/>
      <c r="O73" s="12"/>
      <c r="P73" s="12"/>
      <c r="Q73" s="12"/>
      <c r="R73" s="12"/>
      <c r="S73" s="15"/>
    </row>
    <row r="74" spans="2:19">
      <c r="B74" s="16"/>
      <c r="C74" s="10"/>
      <c r="D74" s="10"/>
      <c r="E74" s="10"/>
      <c r="F74" s="10"/>
      <c r="G74" s="10"/>
      <c r="H74" s="10"/>
      <c r="I74" s="10"/>
      <c r="J74" s="10"/>
      <c r="K74" s="11"/>
      <c r="L74" s="12"/>
      <c r="M74" s="10"/>
      <c r="N74" s="10"/>
      <c r="O74" s="10"/>
      <c r="P74" s="10"/>
      <c r="Q74" s="10"/>
      <c r="R74" s="10"/>
      <c r="S74" s="10"/>
    </row>
    <row r="75" spans="2:19">
      <c r="B75" s="1"/>
      <c r="C75" s="1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</row>
    <row r="76" spans="2:19">
      <c r="B76" s="2"/>
      <c r="C76" s="2"/>
      <c r="D76" s="2"/>
      <c r="E76" s="2"/>
      <c r="F76" s="2"/>
      <c r="G76" s="2"/>
      <c r="H76" s="2"/>
      <c r="I76" s="2"/>
      <c r="J76" s="2"/>
      <c r="K76" s="7"/>
      <c r="L76" s="2"/>
      <c r="M76" s="2"/>
      <c r="N76" s="2"/>
      <c r="O76" s="2"/>
      <c r="P76" s="2"/>
      <c r="Q76" s="2"/>
      <c r="R76" s="2"/>
      <c r="S76" s="2"/>
    </row>
    <row r="77" spans="2:19">
      <c r="B77" s="2"/>
      <c r="C77" s="2"/>
      <c r="D77" s="2"/>
      <c r="E77" s="2"/>
      <c r="F77" s="2"/>
      <c r="G77" s="2"/>
      <c r="H77" s="2"/>
      <c r="I77" s="2"/>
      <c r="J77" s="2"/>
      <c r="K77" s="7"/>
      <c r="L77" s="2"/>
      <c r="M77" s="2"/>
      <c r="N77" s="2"/>
      <c r="O77" s="2"/>
      <c r="P77" s="2"/>
      <c r="Q77" s="2"/>
      <c r="R77" s="2"/>
      <c r="S77" s="2"/>
    </row>
    <row r="78" spans="2:19">
      <c r="B78" s="2"/>
      <c r="C78" s="2"/>
      <c r="D78" s="2"/>
      <c r="E78" s="2"/>
      <c r="F78" s="2"/>
      <c r="G78" s="2"/>
      <c r="H78" s="2"/>
      <c r="I78" s="2"/>
      <c r="J78" s="2"/>
      <c r="K78" s="7"/>
      <c r="L78" s="2"/>
      <c r="M78" s="2"/>
      <c r="N78" s="2"/>
      <c r="O78" s="2"/>
      <c r="P78" s="2"/>
      <c r="Q78" s="2"/>
      <c r="R78" s="2"/>
      <c r="S78" s="2"/>
    </row>
    <row r="79" spans="2:19">
      <c r="B79" s="2"/>
      <c r="C79" s="2"/>
      <c r="D79" s="2"/>
      <c r="E79" s="2"/>
      <c r="F79" s="2"/>
      <c r="G79" s="2"/>
      <c r="H79" s="2"/>
      <c r="I79" s="2"/>
      <c r="J79" s="2"/>
      <c r="K79" s="7"/>
      <c r="L79" s="2"/>
      <c r="M79" s="2"/>
      <c r="N79" s="2"/>
      <c r="O79" s="2"/>
      <c r="P79" s="2"/>
      <c r="Q79" s="2"/>
      <c r="R79" s="2"/>
      <c r="S79" s="2"/>
    </row>
  </sheetData>
  <mergeCells count="17">
    <mergeCell ref="D34:K34"/>
    <mergeCell ref="F36:J36"/>
    <mergeCell ref="C24:G24"/>
    <mergeCell ref="C25:G25"/>
    <mergeCell ref="C26:G26"/>
    <mergeCell ref="C30:G30"/>
    <mergeCell ref="C31:G31"/>
    <mergeCell ref="A8:H8"/>
    <mergeCell ref="A19:H19"/>
    <mergeCell ref="B2:H3"/>
    <mergeCell ref="C20:G20"/>
    <mergeCell ref="C21:G21"/>
    <mergeCell ref="C22:G22"/>
    <mergeCell ref="C23:G23"/>
    <mergeCell ref="C27:G27"/>
    <mergeCell ref="C28:G28"/>
    <mergeCell ref="C29:G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888</cp:lastModifiedBy>
  <dcterms:created xsi:type="dcterms:W3CDTF">2015-04-13T16:29:29Z</dcterms:created>
  <dcterms:modified xsi:type="dcterms:W3CDTF">2017-05-21T09:54:16Z</dcterms:modified>
</cp:coreProperties>
</file>